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36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D45" i="1" l="1"/>
  <c r="D44" i="1"/>
  <c r="D43" i="1"/>
  <c r="D42" i="1"/>
  <c r="D41" i="1"/>
  <c r="D40" i="1"/>
  <c r="D39" i="1"/>
  <c r="D38" i="1"/>
  <c r="D37" i="1"/>
  <c r="D36" i="1"/>
  <c r="D35" i="1"/>
  <c r="D33" i="1"/>
  <c r="D32" i="1"/>
  <c r="D31" i="1"/>
  <c r="D30" i="1"/>
  <c r="D29" i="1"/>
  <c r="D28" i="1"/>
  <c r="D27" i="1"/>
  <c r="D26" i="1"/>
  <c r="D25" i="1"/>
  <c r="D24" i="1"/>
  <c r="D23" i="1"/>
  <c r="C45" i="1"/>
  <c r="C44" i="1"/>
  <c r="C43" i="1"/>
  <c r="C42" i="1"/>
  <c r="C41" i="1"/>
  <c r="C40" i="1"/>
  <c r="C39" i="1"/>
  <c r="C38" i="1"/>
  <c r="E38" i="1" s="1"/>
  <c r="C37" i="1"/>
  <c r="E37" i="1" s="1"/>
  <c r="C36" i="1"/>
  <c r="E36" i="1" s="1"/>
  <c r="C35" i="1"/>
  <c r="C34" i="1"/>
  <c r="E34" i="1" s="1"/>
  <c r="C33" i="1"/>
  <c r="E33" i="1" s="1"/>
  <c r="C32" i="1"/>
  <c r="C31" i="1"/>
  <c r="C30" i="1"/>
  <c r="E30" i="1" s="1"/>
  <c r="C29" i="1"/>
  <c r="E29" i="1" s="1"/>
  <c r="C28" i="1"/>
  <c r="E28" i="1" s="1"/>
  <c r="C27" i="1"/>
  <c r="C26" i="1"/>
  <c r="E26" i="1" s="1"/>
  <c r="C25" i="1"/>
  <c r="C24" i="1"/>
  <c r="E24" i="1" s="1"/>
  <c r="C23" i="1"/>
  <c r="D22" i="1"/>
  <c r="C22" i="1"/>
  <c r="D21" i="1"/>
  <c r="C21" i="1"/>
  <c r="E21" i="1" s="1"/>
  <c r="D20" i="1"/>
  <c r="C20" i="1"/>
  <c r="D19" i="1"/>
  <c r="C19" i="1"/>
  <c r="D18" i="1"/>
  <c r="C18" i="1"/>
  <c r="D17" i="1"/>
  <c r="C17" i="1"/>
  <c r="D16" i="1"/>
  <c r="C16" i="1"/>
  <c r="E16" i="1" s="1"/>
  <c r="D15" i="1"/>
  <c r="C15" i="1"/>
  <c r="D14" i="1"/>
  <c r="C14" i="1"/>
  <c r="D13" i="1"/>
  <c r="C13" i="1"/>
  <c r="D12" i="1"/>
  <c r="C12" i="1"/>
  <c r="E12" i="1" s="1"/>
  <c r="D11" i="1"/>
  <c r="C11" i="1"/>
  <c r="D10" i="1"/>
  <c r="C10" i="1"/>
  <c r="D9" i="1"/>
  <c r="C9" i="1"/>
  <c r="D8" i="1"/>
  <c r="C8" i="1"/>
  <c r="E8" i="1" s="1"/>
  <c r="D7" i="1"/>
  <c r="C7" i="1"/>
  <c r="E45" i="1"/>
  <c r="E44" i="1"/>
  <c r="E43" i="1"/>
  <c r="E42" i="1"/>
  <c r="E41" i="1"/>
  <c r="E40" i="1"/>
  <c r="E39" i="1"/>
  <c r="E35" i="1"/>
  <c r="E31" i="1"/>
  <c r="E27" i="1"/>
  <c r="E23" i="1"/>
  <c r="E19" i="1"/>
  <c r="E14" i="1"/>
  <c r="E10" i="1"/>
  <c r="E32" i="1" l="1"/>
  <c r="E25" i="1"/>
  <c r="E7" i="1"/>
  <c r="E9" i="1"/>
  <c r="E11" i="1"/>
  <c r="E13" i="1"/>
  <c r="E15" i="1"/>
  <c r="E17" i="1"/>
  <c r="E18" i="1"/>
  <c r="E20" i="1"/>
  <c r="E22" i="1"/>
</calcChain>
</file>

<file path=xl/sharedStrings.xml><?xml version="1.0" encoding="utf-8"?>
<sst xmlns="http://schemas.openxmlformats.org/spreadsheetml/2006/main" count="87" uniqueCount="87">
  <si>
    <t>Код</t>
  </si>
  <si>
    <t>Показник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</si>
  <si>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</si>
  <si>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</si>
  <si>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</si>
  <si>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</si>
  <si>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0191</t>
  </si>
  <si>
    <t>Проведення місцевих виборів</t>
  </si>
  <si>
    <t>1010</t>
  </si>
  <si>
    <t>Надання дошкільної освіти</t>
  </si>
  <si>
    <t>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</si>
  <si>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</si>
  <si>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1030</t>
  </si>
  <si>
    <t>Надання загальної середньої освіти вечiрнiми (змінними) школами</t>
  </si>
  <si>
    <t>1090</t>
  </si>
  <si>
    <t>Надання позашкільної освіти позашкільними закладами освіти, заходи із позашкільної роботи з дітьми</t>
  </si>
  <si>
    <t>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</si>
  <si>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</si>
  <si>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1150</t>
  </si>
  <si>
    <t>Методичне забезпечення діяльності навчальних закладів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</si>
  <si>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</si>
  <si>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</si>
  <si>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</si>
  <si>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</si>
  <si>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</si>
  <si>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</si>
  <si>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</si>
  <si>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</si>
  <si>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2145</t>
  </si>
  <si>
    <t>Централізовані заходи з лікування онкологічних хворих</t>
  </si>
  <si>
    <t>2146</t>
  </si>
  <si>
    <t>Відшкодування вартості лікарських засобів для лікування окремих захворювань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</si>
  <si>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</si>
  <si>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</si>
  <si>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</si>
  <si>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</si>
  <si>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</si>
  <si>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</si>
  <si>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3210</t>
  </si>
  <si>
    <t>Організація та проведення громадських робіт</t>
  </si>
  <si>
    <t>3241</t>
  </si>
  <si>
    <t>Забезпечення діяльності інших закладів у сфері соціального захисту і соціального забезпечення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</si>
  <si>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</si>
  <si>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</si>
  <si>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</si>
  <si>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</si>
  <si>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</si>
  <si>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</si>
  <si>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</si>
  <si>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</si>
  <si>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</si>
  <si>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</si>
  <si>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</si>
  <si>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</si>
  <si>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5011</t>
  </si>
  <si>
    <t>Проведення навчально-тренувальних зборів і змагань з олімпійських видів спорту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</si>
  <si>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</si>
  <si>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</si>
  <si>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</si>
  <si>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</si>
  <si>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6011</t>
  </si>
  <si>
    <t>Експлуатація та технічне обслуговування житлового фонду</t>
  </si>
  <si>
    <t>6013</t>
  </si>
  <si>
    <t>Забезпечення діяльності водопровідно-каналізаційного господарства</t>
  </si>
  <si>
    <t>6030</t>
  </si>
  <si>
    <t>Організація благоустрою населених пунктів</t>
  </si>
  <si>
    <t>7411</t>
  </si>
  <si>
    <t>Утримання та розвиток автотранспорту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</si>
  <si>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</si>
  <si>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</si>
  <si>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8312</t>
  </si>
  <si>
    <t>Утилізація відходів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</si>
  <si>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</si>
  <si>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</si>
  <si>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</si>
  <si>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</si>
  <si>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</si>
  <si>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</si>
  <si>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</si>
  <si>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>Аналіз виконання бюджету об'єднаної територіальної громади Оріхівської міської ради за І півріччя 2019 року</t>
  </si>
  <si>
    <t>(загальний фонд)</t>
  </si>
  <si>
    <t>тис. грн.</t>
  </si>
  <si>
    <t>План на І півріччя 2019 року</t>
  </si>
  <si>
    <t>Касові видатки за І півріччя 2019 року</t>
  </si>
  <si>
    <t>% виконання плану</t>
  </si>
  <si>
    <t>Начальник відділу бюджетних відносин</t>
  </si>
  <si>
    <t>Н.В. Тараненко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</si>
</sst>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0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2" borderId="1" xfId="0" applyFont="1" applyFill="1" applyBorder="1"/>
    <xf numFmtId="0" fontId="1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1" fillId="2" borderId="1" xfId="0" quotePrefix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7"/>
  <sheetViews>
    <sheetView tabSelected="1" topLeftCell="A22" zoomScaleNormal="100" workbookViewId="0">
      <selection activeCell="B44" sqref="B44"/>
    </sheetView>
  </sheetViews>
  <sheetFormatPr defaultRowHeight="12.75" x14ac:dyDescent="0.2"/>
  <cols>
    <col min="1" max="1" width="12.42578125" bestFit="1" customWidth="1"/>
    <col min="2" max="2" width="69.140625" customWidth="1"/>
    <col min="3" max="3" width="19.5703125" customWidth="1"/>
    <col min="4" max="4" width="22.5703125" customWidth="1"/>
    <col min="5" max="5" width="17.140625" customWidth="1"/>
  </cols>
  <sheetData>
    <row r="2" spans="1:5" ht="18.75" x14ac:dyDescent="0.2">
      <c r="A2" s="13" t="s">
        <v>79</v>
      </c>
      <c r="B2" s="13"/>
      <c r="C2" s="13"/>
      <c r="D2" s="13"/>
      <c r="E2" s="14"/>
    </row>
    <row r="3" spans="1:5" ht="18.75" x14ac:dyDescent="0.3">
      <c r="A3" s="12" t="s">
        <v>80</v>
      </c>
      <c r="B3" s="12"/>
      <c r="C3" s="12"/>
      <c r="D3" s="12"/>
    </row>
    <row r="4" spans="1:5" ht="15.75" x14ac:dyDescent="0.25">
      <c r="E4" s="11" t="s">
        <v>81</v>
      </c>
    </row>
    <row r="5" spans="1:5" s="3" customFormat="1" ht="31.5" x14ac:dyDescent="0.25">
      <c r="A5" s="2" t="s">
        <v>0</v>
      </c>
      <c r="B5" s="2" t="s">
        <v>1</v>
      </c>
      <c r="C5" s="2" t="s">
        <v>82</v>
      </c>
      <c r="D5" s="2" t="s">
        <v>83</v>
      </c>
      <c r="E5" s="2" t="s">
        <v>84</v>
      </c>
    </row>
    <row r="6" spans="1:5" s="3" customFormat="1" ht="15.75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</row>
    <row r="7" spans="1:5" s="5" customFormat="1" ht="47.25" x14ac:dyDescent="0.25">
      <c r="A7" s="7" t="s">
        <v>2</v>
      </c>
      <c r="B7" s="6" t="s">
        <v>3</v>
      </c>
      <c r="C7" s="9">
        <f>9237845/1000</f>
        <v>9237.8449999999993</v>
      </c>
      <c r="D7" s="9">
        <f>8856179.1/1000</f>
        <v>8856.1790999999994</v>
      </c>
      <c r="E7" s="9">
        <f>D7/C7*100</f>
        <v>95.868453086190556</v>
      </c>
    </row>
    <row r="8" spans="1:5" s="5" customFormat="1" ht="15.75" x14ac:dyDescent="0.25">
      <c r="A8" s="7" t="s">
        <v>4</v>
      </c>
      <c r="B8" s="4" t="s">
        <v>5</v>
      </c>
      <c r="C8" s="9">
        <f>113070/1000</f>
        <v>113.07</v>
      </c>
      <c r="D8" s="9">
        <f>113062.05/1000</f>
        <v>113.06205</v>
      </c>
      <c r="E8" s="9">
        <f t="shared" ref="E8:E45" si="0">D8/C8*100</f>
        <v>99.992968957283097</v>
      </c>
    </row>
    <row r="9" spans="1:5" s="5" customFormat="1" ht="15.75" x14ac:dyDescent="0.25">
      <c r="A9" s="7" t="s">
        <v>6</v>
      </c>
      <c r="B9" s="4" t="s">
        <v>7</v>
      </c>
      <c r="C9" s="9">
        <f>96600/1000</f>
        <v>96.6</v>
      </c>
      <c r="D9" s="9">
        <f>96109.52/1000</f>
        <v>96.109520000000003</v>
      </c>
      <c r="E9" s="9">
        <f t="shared" si="0"/>
        <v>99.492256728778472</v>
      </c>
    </row>
    <row r="10" spans="1:5" s="5" customFormat="1" ht="15.75" x14ac:dyDescent="0.25">
      <c r="A10" s="7" t="s">
        <v>8</v>
      </c>
      <c r="B10" s="4" t="s">
        <v>9</v>
      </c>
      <c r="C10" s="9">
        <f>12828109/1000</f>
        <v>12828.109</v>
      </c>
      <c r="D10" s="9">
        <f>11421939.28/1000</f>
        <v>11421.939279999999</v>
      </c>
      <c r="E10" s="9">
        <f t="shared" si="0"/>
        <v>89.038370971122859</v>
      </c>
    </row>
    <row r="11" spans="1:5" s="5" customFormat="1" ht="63" x14ac:dyDescent="0.25">
      <c r="A11" s="7" t="s">
        <v>10</v>
      </c>
      <c r="B11" s="6" t="s">
        <v>11</v>
      </c>
      <c r="C11" s="9">
        <f>33608424/1000</f>
        <v>33608.423999999999</v>
      </c>
      <c r="D11" s="9">
        <f>27990620.84/1000</f>
        <v>27990.62084</v>
      </c>
      <c r="E11" s="9">
        <f t="shared" si="0"/>
        <v>83.284538543074788</v>
      </c>
    </row>
    <row r="12" spans="1:5" s="5" customFormat="1" ht="31.5" x14ac:dyDescent="0.25">
      <c r="A12" s="7" t="s">
        <v>12</v>
      </c>
      <c r="B12" s="6" t="s">
        <v>13</v>
      </c>
      <c r="C12" s="9">
        <f>421938/1000</f>
        <v>421.93799999999999</v>
      </c>
      <c r="D12" s="9">
        <f>170922.29/1000</f>
        <v>170.92229</v>
      </c>
      <c r="E12" s="9">
        <f t="shared" si="0"/>
        <v>40.508863861515195</v>
      </c>
    </row>
    <row r="13" spans="1:5" s="5" customFormat="1" ht="31.5" x14ac:dyDescent="0.25">
      <c r="A13" s="7" t="s">
        <v>14</v>
      </c>
      <c r="B13" s="6" t="s">
        <v>15</v>
      </c>
      <c r="C13" s="9">
        <f>673337/1000</f>
        <v>673.33699999999999</v>
      </c>
      <c r="D13" s="9">
        <f>523484.11/1000</f>
        <v>523.48410999999999</v>
      </c>
      <c r="E13" s="9">
        <f t="shared" si="0"/>
        <v>77.744741489031497</v>
      </c>
    </row>
    <row r="14" spans="1:5" s="5" customFormat="1" ht="47.25" x14ac:dyDescent="0.25">
      <c r="A14" s="7" t="s">
        <v>16</v>
      </c>
      <c r="B14" s="6" t="s">
        <v>17</v>
      </c>
      <c r="C14" s="9">
        <f>2057780/1000</f>
        <v>2057.7800000000002</v>
      </c>
      <c r="D14" s="9">
        <f>1914876.95/1000</f>
        <v>1914.8769499999999</v>
      </c>
      <c r="E14" s="9">
        <f t="shared" si="0"/>
        <v>93.0554748321006</v>
      </c>
    </row>
    <row r="15" spans="1:5" s="5" customFormat="1" ht="15.75" x14ac:dyDescent="0.25">
      <c r="A15" s="7" t="s">
        <v>18</v>
      </c>
      <c r="B15" s="4" t="s">
        <v>19</v>
      </c>
      <c r="C15" s="9">
        <f>261875/1000</f>
        <v>261.875</v>
      </c>
      <c r="D15" s="9">
        <f>219784.51/1000</f>
        <v>219.78451000000001</v>
      </c>
      <c r="E15" s="9">
        <f t="shared" si="0"/>
        <v>83.927259188544156</v>
      </c>
    </row>
    <row r="16" spans="1:5" s="5" customFormat="1" ht="15.75" x14ac:dyDescent="0.25">
      <c r="A16" s="7" t="s">
        <v>20</v>
      </c>
      <c r="B16" s="4" t="s">
        <v>21</v>
      </c>
      <c r="C16" s="9">
        <f>622718/1000</f>
        <v>622.71799999999996</v>
      </c>
      <c r="D16" s="9">
        <f>460834.64/1000</f>
        <v>460.83464000000004</v>
      </c>
      <c r="E16" s="9">
        <f t="shared" si="0"/>
        <v>74.003744873281335</v>
      </c>
    </row>
    <row r="17" spans="1:5" s="5" customFormat="1" ht="15.75" x14ac:dyDescent="0.25">
      <c r="A17" s="7" t="s">
        <v>22</v>
      </c>
      <c r="B17" s="4" t="s">
        <v>23</v>
      </c>
      <c r="C17" s="9">
        <f>18104/1000</f>
        <v>18.103999999999999</v>
      </c>
      <c r="D17" s="9">
        <f>1810/1000</f>
        <v>1.81</v>
      </c>
      <c r="E17" s="9">
        <f t="shared" si="0"/>
        <v>9.9977905435262926</v>
      </c>
    </row>
    <row r="18" spans="1:5" s="5" customFormat="1" ht="15.75" x14ac:dyDescent="0.25">
      <c r="A18" s="7" t="s">
        <v>24</v>
      </c>
      <c r="B18" s="4" t="s">
        <v>25</v>
      </c>
      <c r="C18" s="9">
        <f>877038/1000</f>
        <v>877.03800000000001</v>
      </c>
      <c r="D18" s="9">
        <f>450360.46/1000</f>
        <v>450.36046000000005</v>
      </c>
      <c r="E18" s="9">
        <f t="shared" si="0"/>
        <v>51.350164987149938</v>
      </c>
    </row>
    <row r="19" spans="1:5" s="5" customFormat="1" ht="31.5" x14ac:dyDescent="0.25">
      <c r="A19" s="7" t="s">
        <v>26</v>
      </c>
      <c r="B19" s="6" t="s">
        <v>27</v>
      </c>
      <c r="C19" s="9">
        <f>252650/1000</f>
        <v>252.65</v>
      </c>
      <c r="D19" s="9">
        <f>188041.58/1000</f>
        <v>188.04157999999998</v>
      </c>
      <c r="E19" s="9">
        <f t="shared" si="0"/>
        <v>74.427698396991886</v>
      </c>
    </row>
    <row r="20" spans="1:5" s="5" customFormat="1" ht="15.75" x14ac:dyDescent="0.25">
      <c r="A20" s="7" t="s">
        <v>28</v>
      </c>
      <c r="B20" s="4" t="s">
        <v>29</v>
      </c>
      <c r="C20" s="9">
        <f>244980/1000</f>
        <v>244.98</v>
      </c>
      <c r="D20" s="9">
        <f>131931.72/1000</f>
        <v>131.93172000000001</v>
      </c>
      <c r="E20" s="9">
        <f t="shared" si="0"/>
        <v>53.8540778839089</v>
      </c>
    </row>
    <row r="21" spans="1:5" s="5" customFormat="1" ht="31.5" x14ac:dyDescent="0.25">
      <c r="A21" s="7" t="s">
        <v>30</v>
      </c>
      <c r="B21" s="6" t="s">
        <v>31</v>
      </c>
      <c r="C21" s="9">
        <f>127727/1000</f>
        <v>127.727</v>
      </c>
      <c r="D21" s="9">
        <f>127708.79/1000</f>
        <v>127.70878999999999</v>
      </c>
      <c r="E21" s="9">
        <f t="shared" si="0"/>
        <v>99.985743030056284</v>
      </c>
    </row>
    <row r="22" spans="1:5" s="5" customFormat="1" ht="31.5" x14ac:dyDescent="0.25">
      <c r="A22" s="7" t="s">
        <v>32</v>
      </c>
      <c r="B22" s="6" t="s">
        <v>33</v>
      </c>
      <c r="C22" s="9">
        <f>32000/1000</f>
        <v>32</v>
      </c>
      <c r="D22" s="9">
        <f>30045/1000</f>
        <v>30.045000000000002</v>
      </c>
      <c r="E22" s="9">
        <f t="shared" si="0"/>
        <v>93.890625</v>
      </c>
    </row>
    <row r="23" spans="1:5" s="5" customFormat="1" ht="31.5" x14ac:dyDescent="0.25">
      <c r="A23" s="7" t="s">
        <v>34</v>
      </c>
      <c r="B23" s="6" t="s">
        <v>35</v>
      </c>
      <c r="C23" s="9">
        <f>27900/1000</f>
        <v>27.9</v>
      </c>
      <c r="D23" s="9">
        <f>12451.19/1000</f>
        <v>12.45119</v>
      </c>
      <c r="E23" s="9">
        <f t="shared" si="0"/>
        <v>44.627921146953412</v>
      </c>
    </row>
    <row r="24" spans="1:5" s="5" customFormat="1" ht="47.25" x14ac:dyDescent="0.25">
      <c r="A24" s="7" t="s">
        <v>36</v>
      </c>
      <c r="B24" s="6" t="s">
        <v>37</v>
      </c>
      <c r="C24" s="9">
        <f>399000/1000</f>
        <v>399</v>
      </c>
      <c r="D24" s="9">
        <f>399000/1000</f>
        <v>399</v>
      </c>
      <c r="E24" s="9">
        <f t="shared" si="0"/>
        <v>100</v>
      </c>
    </row>
    <row r="25" spans="1:5" s="5" customFormat="1" ht="15.75" x14ac:dyDescent="0.25">
      <c r="A25" s="7" t="s">
        <v>38</v>
      </c>
      <c r="B25" s="4" t="s">
        <v>39</v>
      </c>
      <c r="C25" s="9">
        <f>50000/1000</f>
        <v>50</v>
      </c>
      <c r="D25" s="9">
        <f>49956.23/1000</f>
        <v>49.956230000000005</v>
      </c>
      <c r="E25" s="9">
        <f t="shared" si="0"/>
        <v>99.91246000000001</v>
      </c>
    </row>
    <row r="26" spans="1:5" s="5" customFormat="1" ht="31.5" x14ac:dyDescent="0.25">
      <c r="A26" s="7" t="s">
        <v>40</v>
      </c>
      <c r="B26" s="6" t="s">
        <v>41</v>
      </c>
      <c r="C26" s="9">
        <f>1064184/1000</f>
        <v>1064.184</v>
      </c>
      <c r="D26" s="9">
        <f>1055982.49/1000</f>
        <v>1055.9824900000001</v>
      </c>
      <c r="E26" s="9">
        <f t="shared" si="0"/>
        <v>99.229314667388351</v>
      </c>
    </row>
    <row r="27" spans="1:5" s="5" customFormat="1" ht="31.5" x14ac:dyDescent="0.25">
      <c r="A27" s="7" t="s">
        <v>42</v>
      </c>
      <c r="B27" s="6" t="s">
        <v>43</v>
      </c>
      <c r="C27" s="9">
        <f>112500/1000</f>
        <v>112.5</v>
      </c>
      <c r="D27" s="9">
        <f>92540/1000</f>
        <v>92.54</v>
      </c>
      <c r="E27" s="9">
        <f t="shared" si="0"/>
        <v>82.25777777777779</v>
      </c>
    </row>
    <row r="28" spans="1:5" s="5" customFormat="1" ht="15.75" x14ac:dyDescent="0.25">
      <c r="A28" s="7" t="s">
        <v>44</v>
      </c>
      <c r="B28" s="6" t="s">
        <v>45</v>
      </c>
      <c r="C28" s="9">
        <f>780090/1000</f>
        <v>780.09</v>
      </c>
      <c r="D28" s="9">
        <f>737622.99/1000</f>
        <v>737.62298999999996</v>
      </c>
      <c r="E28" s="9">
        <f t="shared" si="0"/>
        <v>94.556139676191194</v>
      </c>
    </row>
    <row r="29" spans="1:5" s="5" customFormat="1" ht="15.75" x14ac:dyDescent="0.25">
      <c r="A29" s="7" t="s">
        <v>46</v>
      </c>
      <c r="B29" s="6" t="s">
        <v>47</v>
      </c>
      <c r="C29" s="9">
        <f>189154/1000</f>
        <v>189.154</v>
      </c>
      <c r="D29" s="9">
        <f>138859.25/1000</f>
        <v>138.85925</v>
      </c>
      <c r="E29" s="9">
        <f t="shared" si="0"/>
        <v>73.410686530551828</v>
      </c>
    </row>
    <row r="30" spans="1:5" s="5" customFormat="1" ht="31.5" x14ac:dyDescent="0.25">
      <c r="A30" s="7" t="s">
        <v>48</v>
      </c>
      <c r="B30" s="6" t="s">
        <v>49</v>
      </c>
      <c r="C30" s="9">
        <f>1997077/1000</f>
        <v>1997.077</v>
      </c>
      <c r="D30" s="9">
        <f>1878618.32/1000</f>
        <v>1878.61832</v>
      </c>
      <c r="E30" s="9">
        <f t="shared" si="0"/>
        <v>94.068396962160193</v>
      </c>
    </row>
    <row r="31" spans="1:5" s="5" customFormat="1" ht="31.5" x14ac:dyDescent="0.25">
      <c r="A31" s="7" t="s">
        <v>50</v>
      </c>
      <c r="B31" s="6" t="s">
        <v>51</v>
      </c>
      <c r="C31" s="9">
        <f>570850/1000</f>
        <v>570.85</v>
      </c>
      <c r="D31" s="9">
        <f>503776.45/1000</f>
        <v>503.77645000000001</v>
      </c>
      <c r="E31" s="9">
        <f t="shared" si="0"/>
        <v>88.250232110011382</v>
      </c>
    </row>
    <row r="32" spans="1:5" s="5" customFormat="1" ht="15.75" x14ac:dyDescent="0.25">
      <c r="A32" s="7" t="s">
        <v>52</v>
      </c>
      <c r="B32" s="6" t="s">
        <v>53</v>
      </c>
      <c r="C32" s="9">
        <f>43000/1000</f>
        <v>43</v>
      </c>
      <c r="D32" s="9">
        <f>20590/1000</f>
        <v>20.59</v>
      </c>
      <c r="E32" s="9">
        <f t="shared" si="0"/>
        <v>47.883720930232556</v>
      </c>
    </row>
    <row r="33" spans="1:5" s="5" customFormat="1" ht="31.5" x14ac:dyDescent="0.25">
      <c r="A33" s="7" t="s">
        <v>54</v>
      </c>
      <c r="B33" s="6" t="s">
        <v>55</v>
      </c>
      <c r="C33" s="9">
        <f>41700/1000</f>
        <v>41.7</v>
      </c>
      <c r="D33" s="9">
        <f>4500/1000</f>
        <v>4.5</v>
      </c>
      <c r="E33" s="9">
        <f t="shared" si="0"/>
        <v>10.791366906474821</v>
      </c>
    </row>
    <row r="34" spans="1:5" s="5" customFormat="1" ht="31.5" x14ac:dyDescent="0.25">
      <c r="A34" s="7" t="s">
        <v>56</v>
      </c>
      <c r="B34" s="6" t="s">
        <v>57</v>
      </c>
      <c r="C34" s="9">
        <f>8300/1000</f>
        <v>8.3000000000000007</v>
      </c>
      <c r="D34" s="9">
        <v>0</v>
      </c>
      <c r="E34" s="9">
        <f t="shared" si="0"/>
        <v>0</v>
      </c>
    </row>
    <row r="35" spans="1:5" s="5" customFormat="1" ht="31.5" x14ac:dyDescent="0.25">
      <c r="A35" s="7" t="s">
        <v>58</v>
      </c>
      <c r="B35" s="6" t="s">
        <v>59</v>
      </c>
      <c r="C35" s="9">
        <f>1100658/1000</f>
        <v>1100.6579999999999</v>
      </c>
      <c r="D35" s="9">
        <f>1013737.52/1000</f>
        <v>1013.73752</v>
      </c>
      <c r="E35" s="9">
        <f t="shared" si="0"/>
        <v>92.102862106121989</v>
      </c>
    </row>
    <row r="36" spans="1:5" s="5" customFormat="1" ht="15.75" x14ac:dyDescent="0.25">
      <c r="A36" s="7" t="s">
        <v>60</v>
      </c>
      <c r="B36" s="6" t="s">
        <v>61</v>
      </c>
      <c r="C36" s="9">
        <f>139664/1000</f>
        <v>139.66399999999999</v>
      </c>
      <c r="D36" s="9">
        <f>129063.52/1000</f>
        <v>129.06352000000001</v>
      </c>
      <c r="E36" s="9">
        <f t="shared" si="0"/>
        <v>92.410012601672591</v>
      </c>
    </row>
    <row r="37" spans="1:5" s="5" customFormat="1" ht="31.5" x14ac:dyDescent="0.25">
      <c r="A37" s="7" t="s">
        <v>62</v>
      </c>
      <c r="B37" s="6" t="s">
        <v>63</v>
      </c>
      <c r="C37" s="9">
        <f>773000/1000</f>
        <v>773</v>
      </c>
      <c r="D37" s="9">
        <f>655494.71/1000</f>
        <v>655.49470999999994</v>
      </c>
      <c r="E37" s="9">
        <f t="shared" si="0"/>
        <v>84.7987981888745</v>
      </c>
    </row>
    <row r="38" spans="1:5" s="5" customFormat="1" ht="15.75" x14ac:dyDescent="0.25">
      <c r="A38" s="7" t="s">
        <v>64</v>
      </c>
      <c r="B38" s="6" t="s">
        <v>65</v>
      </c>
      <c r="C38" s="9">
        <f>2722686/1000</f>
        <v>2722.6860000000001</v>
      </c>
      <c r="D38" s="9">
        <f>2460111.71/1000</f>
        <v>2460.1117100000001</v>
      </c>
      <c r="E38" s="9">
        <f t="shared" si="0"/>
        <v>90.356056849743226</v>
      </c>
    </row>
    <row r="39" spans="1:5" s="5" customFormat="1" ht="15.75" x14ac:dyDescent="0.25">
      <c r="A39" s="7" t="s">
        <v>66</v>
      </c>
      <c r="B39" s="6" t="s">
        <v>67</v>
      </c>
      <c r="C39" s="9">
        <f>51300/1000</f>
        <v>51.3</v>
      </c>
      <c r="D39" s="9">
        <f>51060/1000</f>
        <v>51.06</v>
      </c>
      <c r="E39" s="9">
        <f t="shared" si="0"/>
        <v>99.532163742690074</v>
      </c>
    </row>
    <row r="40" spans="1:5" s="5" customFormat="1" ht="31.5" x14ac:dyDescent="0.25">
      <c r="A40" s="7" t="s">
        <v>68</v>
      </c>
      <c r="B40" s="6" t="s">
        <v>69</v>
      </c>
      <c r="C40" s="9">
        <f>450000/1000</f>
        <v>450</v>
      </c>
      <c r="D40" s="9">
        <f>161982/1000</f>
        <v>161.982</v>
      </c>
      <c r="E40" s="9">
        <f t="shared" si="0"/>
        <v>35.996000000000002</v>
      </c>
    </row>
    <row r="41" spans="1:5" s="5" customFormat="1" ht="15.75" x14ac:dyDescent="0.25">
      <c r="A41" s="7" t="s">
        <v>70</v>
      </c>
      <c r="B41" s="6" t="s">
        <v>71</v>
      </c>
      <c r="C41" s="9">
        <f>100000/1000</f>
        <v>100</v>
      </c>
      <c r="D41" s="9">
        <f>99996/1000</f>
        <v>99.995999999999995</v>
      </c>
      <c r="E41" s="9">
        <f t="shared" si="0"/>
        <v>99.995999999999995</v>
      </c>
    </row>
    <row r="42" spans="1:5" s="5" customFormat="1" ht="47.25" x14ac:dyDescent="0.25">
      <c r="A42" s="7" t="s">
        <v>72</v>
      </c>
      <c r="B42" s="6" t="s">
        <v>73</v>
      </c>
      <c r="C42" s="9">
        <f>6495200/1000</f>
        <v>6495.2</v>
      </c>
      <c r="D42" s="9">
        <f>6495200/1000</f>
        <v>6495.2</v>
      </c>
      <c r="E42" s="9">
        <f t="shared" si="0"/>
        <v>100</v>
      </c>
    </row>
    <row r="43" spans="1:5" s="5" customFormat="1" ht="15.75" x14ac:dyDescent="0.25">
      <c r="A43" s="7" t="s">
        <v>74</v>
      </c>
      <c r="B43" s="6" t="s">
        <v>75</v>
      </c>
      <c r="C43" s="9">
        <f>795080/1000</f>
        <v>795.08</v>
      </c>
      <c r="D43" s="9">
        <f>516380/1000</f>
        <v>516.38</v>
      </c>
      <c r="E43" s="9">
        <f t="shared" si="0"/>
        <v>64.946923580017099</v>
      </c>
    </row>
    <row r="44" spans="1:5" s="5" customFormat="1" ht="31.5" x14ac:dyDescent="0.25">
      <c r="A44" s="7" t="s">
        <v>76</v>
      </c>
      <c r="B44" s="6" t="s">
        <v>77</v>
      </c>
      <c r="C44" s="9">
        <f>95000/1000</f>
        <v>95</v>
      </c>
      <c r="D44" s="9">
        <f>65000/1000</f>
        <v>65</v>
      </c>
      <c r="E44" s="9">
        <f t="shared" si="0"/>
        <v>68.421052631578945</v>
      </c>
    </row>
    <row r="45" spans="1:5" s="19" customFormat="1" ht="15.75" x14ac:dyDescent="0.25">
      <c r="A45" s="17" t="s">
        <v>78</v>
      </c>
      <c r="B45" s="17"/>
      <c r="C45" s="18">
        <f>79480538/1000</f>
        <v>79480.538</v>
      </c>
      <c r="D45" s="18">
        <f>69239633.22/1000</f>
        <v>69239.633220000003</v>
      </c>
      <c r="E45" s="18">
        <f t="shared" si="0"/>
        <v>87.11520450452916</v>
      </c>
    </row>
    <row r="46" spans="1:5" ht="15.75" x14ac:dyDescent="0.2">
      <c r="C46" s="8"/>
      <c r="D46" s="8"/>
      <c r="E46" s="10"/>
    </row>
    <row r="47" spans="1:5" ht="15.75" x14ac:dyDescent="0.2">
      <c r="A47" s="15" t="s">
        <v>85</v>
      </c>
      <c r="C47" s="16" t="s">
        <v>86</v>
      </c>
      <c r="D47" s="1"/>
      <c r="E47" s="1"/>
    </row>
  </sheetData>
  <mergeCells count="2">
    <mergeCell ref="A3:D3"/>
    <mergeCell ref="A2:E2"/>
  </mergeCells>
  <pageMargins left="0.59055118110236227" right="0.59055118110236227" top="0.39370078740157483" bottom="0.39370078740157483" header="0" footer="0"/>
  <pageSetup paperSize="9" scale="63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bv-user-01</dc:creator>
  <cp:lastModifiedBy>bv-user-01</cp:lastModifiedBy>
  <cp:lastPrinted>2019-07-01T13:42:10Z</cp:lastPrinted>
  <dcterms:created xsi:type="dcterms:W3CDTF">2019-07-01T11:51:34Z</dcterms:created>
  <dcterms:modified xsi:type="dcterms:W3CDTF">2019-07-01T13:42:12Z</dcterms:modified>
</cp:coreProperties>
</file>